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4310" activeTab="0"/>
  </bookViews>
  <sheets>
    <sheet name="Fatigue" sheetId="1" r:id="rId1"/>
    <sheet name="~#temp" sheetId="2" state="hidden" r:id="rId2"/>
    <sheet name="Stress Strain" sheetId="3" r:id="rId3"/>
  </sheets>
  <externalReferences>
    <externalReference r:id="rId6"/>
    <externalReference r:id="rId7"/>
    <externalReference r:id="rId8"/>
    <externalReference r:id="rId9"/>
  </externalReferences>
  <definedNames>
    <definedName name="a">#REF!</definedName>
    <definedName name="Aw">'[3]Weld (2)'!#REF!</definedName>
    <definedName name="b">#REF!</definedName>
    <definedName name="bill">'[4]Calcs'!#REF!</definedName>
    <definedName name="CLIENT">#REF!</definedName>
    <definedName name="CON_NO">#REF!</definedName>
    <definedName name="d">#REF!</definedName>
    <definedName name="DATEMADE">#REF!</definedName>
    <definedName name="density">'[2]3'!#REF!</definedName>
    <definedName name="dip">#REF!</definedName>
    <definedName name="E">#REF!</definedName>
    <definedName name="Eqn1">"$F$34"</definedName>
    <definedName name="Eqn2">"$F$34"</definedName>
    <definedName name="Eqn3">"$F$34"</definedName>
    <definedName name="f">#REF!</definedName>
    <definedName name="Fax">#REF!</definedName>
    <definedName name="Fb">#REF!</definedName>
    <definedName name="Fs">#REF!</definedName>
    <definedName name="Fvwd">#REF!</definedName>
    <definedName name="I">#REF!</definedName>
    <definedName name="Ip">#REF!</definedName>
    <definedName name="Iw">#REF!</definedName>
    <definedName name="J">#REF!</definedName>
    <definedName name="lw">#REF!</definedName>
    <definedName name="Lwe">'[3]Weld (2)'!#REF!</definedName>
    <definedName name="MADEBY">#REF!</definedName>
    <definedName name="Mz">#REF!</definedName>
    <definedName name="_xlnm.Print_Area" localSheetId="2">'Stress Strain'!$A$1:$AT$32</definedName>
    <definedName name="REV">#REF!</definedName>
    <definedName name="Rx">#REF!</definedName>
    <definedName name="Sbp">#REF!</definedName>
    <definedName name="Sbw">#REF!</definedName>
    <definedName name="solver_adj" localSheetId="0" hidden="1">'Fatigue'!$C$3</definedName>
    <definedName name="solver_adj" localSheetId="2" hidden="1">'Stress Strain'!$D$30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'Fatigue'!$H$10</definedName>
    <definedName name="solver_opt" localSheetId="2" hidden="1">'Stress Strain'!$D$31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3</definedName>
    <definedName name="solver_typ" localSheetId="2" hidden="1">3</definedName>
    <definedName name="solver_val" localSheetId="0" hidden="1">0.0052</definedName>
    <definedName name="solver_val" localSheetId="2" hidden="1">0.002919</definedName>
    <definedName name="t">#REF!</definedName>
    <definedName name="tp">#REF!</definedName>
    <definedName name="tpc">'[3]Weld (2)'!#REF!</definedName>
    <definedName name="tpw">'[3]Weld (2)'!#REF!</definedName>
    <definedName name="tw">#REF!</definedName>
    <definedName name="Yone">#REF!</definedName>
  </definedNames>
  <calcPr fullCalcOnLoad="1"/>
</workbook>
</file>

<file path=xl/sharedStrings.xml><?xml version="1.0" encoding="utf-8"?>
<sst xmlns="http://schemas.openxmlformats.org/spreadsheetml/2006/main" count="77" uniqueCount="70">
  <si>
    <r>
      <t>ε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=</t>
    </r>
  </si>
  <si>
    <r>
      <t>ε</t>
    </r>
    <r>
      <rPr>
        <vertAlign val="subscript"/>
        <sz val="10"/>
        <rFont val="Arial"/>
        <family val="0"/>
      </rPr>
      <t>D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</si>
  <si>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s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</si>
  <si>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=</t>
    </r>
  </si>
  <si>
    <r>
      <t>ε</t>
    </r>
    <r>
      <rPr>
        <vertAlign val="subscript"/>
        <sz val="10"/>
        <rFont val="Arial"/>
        <family val="0"/>
      </rPr>
      <t>f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</si>
  <si>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0"/>
      </rPr>
      <t>a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</si>
  <si>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B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</si>
  <si>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</si>
  <si>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D</t>
    </r>
    <r>
      <rPr>
        <sz val="10"/>
        <rFont val="Arial"/>
        <family val="0"/>
      </rPr>
      <t xml:space="preserve"> =</t>
    </r>
  </si>
  <si>
    <r>
      <t>ε</t>
    </r>
    <r>
      <rPr>
        <vertAlign val="subscript"/>
        <sz val="10"/>
        <rFont val="Arial"/>
        <family val="0"/>
      </rPr>
      <t>B</t>
    </r>
    <r>
      <rPr>
        <sz val="10"/>
        <rFont val="Arial"/>
        <family val="0"/>
      </rPr>
      <t xml:space="preserve"> =</t>
    </r>
  </si>
  <si>
    <r>
      <t>ε</t>
    </r>
    <r>
      <rPr>
        <vertAlign val="subscript"/>
        <sz val="10"/>
        <rFont val="Arial"/>
        <family val="0"/>
      </rPr>
      <t>A</t>
    </r>
    <r>
      <rPr>
        <sz val="10"/>
        <rFont val="Arial"/>
        <family val="0"/>
      </rPr>
      <t xml:space="preserve"> =</t>
    </r>
  </si>
  <si>
    <t>Yield Strength</t>
  </si>
  <si>
    <t>Point B</t>
  </si>
  <si>
    <t>Point C Log Strain At Fracture x Modulus</t>
  </si>
  <si>
    <t>Point D Cycles - Inflection Point</t>
  </si>
  <si>
    <t>Point A True Ultimate Tensile Strength</t>
  </si>
  <si>
    <t>Tensile Strength</t>
  </si>
  <si>
    <t>Elongation</t>
  </si>
  <si>
    <t>Reduction In Area</t>
  </si>
  <si>
    <t>Modulus</t>
  </si>
  <si>
    <t>Cycles</t>
  </si>
  <si>
    <t>Stress</t>
  </si>
  <si>
    <t>Strain</t>
  </si>
  <si>
    <t>Point B Estimator</t>
  </si>
  <si>
    <t>Ductility Parameter</t>
  </si>
  <si>
    <t>FS / YS</t>
  </si>
  <si>
    <t>Elastic Slope</t>
  </si>
  <si>
    <t>Elastic Intercept</t>
  </si>
  <si>
    <t>Plastic Slope</t>
  </si>
  <si>
    <t>Plastic Intercept</t>
  </si>
  <si>
    <t>Tensile Strength, Ultimate</t>
  </si>
  <si>
    <t>Tensile Strength, Yield</t>
  </si>
  <si>
    <t>Modulus of Elasticity</t>
  </si>
  <si>
    <t>Stain at yield</t>
  </si>
  <si>
    <t>Elongation at Break</t>
  </si>
  <si>
    <t>Proportional Limit Stress</t>
  </si>
  <si>
    <t>Tangent modulus</t>
  </si>
  <si>
    <r>
      <t>n</t>
    </r>
    <r>
      <rPr>
        <sz val="10"/>
        <rFont val="Arial"/>
        <family val="0"/>
      </rPr>
      <t xml:space="preserve"> =</t>
    </r>
  </si>
  <si>
    <t>m =</t>
  </si>
  <si>
    <t>Strain at 0.2% proof stress</t>
  </si>
  <si>
    <t>The generalised equation for a given stress</t>
  </si>
  <si>
    <r>
      <t>s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</si>
  <si>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0.2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</si>
  <si>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0 =</t>
    </r>
  </si>
  <si>
    <r>
      <t>e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</si>
  <si>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</si>
  <si>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</si>
  <si>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</si>
  <si>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</si>
  <si>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Comic Sans MS"/>
        <family val="4"/>
      </rPr>
      <t>0.2</t>
    </r>
    <r>
      <rPr>
        <sz val="10"/>
        <rFont val="Comic Sans MS"/>
        <family val="4"/>
      </rPr>
      <t xml:space="preserve"> =</t>
    </r>
  </si>
  <si>
    <r>
      <t>s</t>
    </r>
    <r>
      <rPr>
        <sz val="10"/>
        <rFont val="Comic Sans MS"/>
        <family val="4"/>
      </rPr>
      <t xml:space="preserve"> =</t>
    </r>
  </si>
  <si>
    <r>
      <t>e</t>
    </r>
    <r>
      <rPr>
        <sz val="10"/>
        <rFont val="Comic Sans MS"/>
        <family val="4"/>
      </rPr>
      <t xml:space="preserve"> =</t>
    </r>
  </si>
  <si>
    <t>ksi</t>
  </si>
  <si>
    <t>Inversion Table</t>
  </si>
  <si>
    <t>Strain
in / in</t>
  </si>
  <si>
    <t>Load
Cycles</t>
  </si>
  <si>
    <t>Stress
ksi</t>
  </si>
  <si>
    <t>Fatigue Curves 
For Alloy Steels</t>
  </si>
  <si>
    <t>Bar Length</t>
  </si>
  <si>
    <t>Bar Diameter</t>
  </si>
  <si>
    <t>Stretch
inches</t>
  </si>
  <si>
    <t>Load
kips</t>
  </si>
  <si>
    <r>
      <t>σ</t>
    </r>
    <r>
      <rPr>
        <vertAlign val="subscript"/>
        <sz val="10"/>
        <rFont val="Arial"/>
        <family val="0"/>
      </rPr>
      <t>u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</si>
  <si>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0"/>
      </rPr>
      <t xml:space="preserve"> y</t>
    </r>
    <r>
      <rPr>
        <sz val="10"/>
        <rFont val="Arial"/>
        <family val="0"/>
      </rPr>
      <t xml:space="preserve"> =</t>
    </r>
  </si>
  <si>
    <r>
      <t>E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</si>
  <si>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0"/>
      </rPr>
      <t>p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</si>
  <si>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0"/>
      </rPr>
      <t>r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</si>
  <si>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0"/>
      </rPr>
      <t>s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</si>
  <si>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</si>
  <si>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A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</si>
</sst>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E+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"/>
    <numFmt numFmtId="180" formatCode="0.00000"/>
    <numFmt numFmtId="181" formatCode="0.000"/>
    <numFmt numFmtId="182" formatCode="_(* #,##0.0_);_(* \(#,##0.0\);_(* &quot;-&quot;??_);_(@_)"/>
    <numFmt numFmtId="183" formatCode="_(* #,##0_);_(* \(#,##0\);_(* &quot;-&quot;??_);_(@_)"/>
    <numFmt numFmtId="184" formatCode="0.00000000"/>
    <numFmt numFmtId="185" formatCode="0.000000000"/>
    <numFmt numFmtId="186" formatCode="0.0000000"/>
    <numFmt numFmtId="187" formatCode="0.00_)"/>
    <numFmt numFmtId="188" formatCode="#,##0.0"/>
    <numFmt numFmtId="189" formatCode="#,##0.000"/>
    <numFmt numFmtId="190" formatCode="#,##0.0000000"/>
    <numFmt numFmtId="191" formatCode="#,##0_ ;[Red]\-#,##0\ "/>
    <numFmt numFmtId="192" formatCode="#,##0.0_ ;[Red]\-#,##0.0\ "/>
    <numFmt numFmtId="193" formatCode="#,##0.00_ ;[Red]\-#,##0.00\ "/>
    <numFmt numFmtId="194" formatCode="#,##0.000_ ;[Red]\-#,##0.000\ "/>
    <numFmt numFmtId="195" formatCode="#,##0.0000_ ;[Red]\-#,##0.0000\ "/>
    <numFmt numFmtId="196" formatCode="_-* #,##0.0_-;\-* #,##0.0_-;_-* &quot;-&quot;??_-;_-@_-"/>
    <numFmt numFmtId="197" formatCode="_-* #,##0.0_-;\-* #,##0.0_-;_-* &quot;-&quot;?_-;_-@_-"/>
    <numFmt numFmtId="198" formatCode="_-* #,##0.000_-;\-* #,##0.000_-;_-* &quot;-&quot;??_-;_-@_-"/>
    <numFmt numFmtId="199" formatCode="_-* #,##0.000_-;\-* #,##0.000_-;_-* &quot;-&quot;???_-;_-@_-"/>
    <numFmt numFmtId="200" formatCode="_-* #,##0_-;\-* #,##0_-;_-* &quot;-&quot;??_-;_-@_-"/>
    <numFmt numFmtId="201" formatCode="_-* #,##0.0000_-;\-* #,##0.0000_-;_-* &quot;-&quot;??_-;_-@_-"/>
    <numFmt numFmtId="202" formatCode="#,##0.0000"/>
    <numFmt numFmtId="203" formatCode="#,##0.00000"/>
    <numFmt numFmtId="204" formatCode="#,##0.000000"/>
    <numFmt numFmtId="205" formatCode="0.0000E+00"/>
    <numFmt numFmtId="206" formatCode="0.000E+00"/>
    <numFmt numFmtId="207" formatCode="0.000%"/>
    <numFmt numFmtId="208" formatCode="_(* #,##0.000_);_(* \(#,##0.000\);_(* &quot;-&quot;??_);_(@_)"/>
    <numFmt numFmtId="209" formatCode="_-* #,##0.00000_-;\-* #,##0.00000_-;_-* &quot;-&quot;?????_-;_-@_-"/>
    <numFmt numFmtId="210" formatCode="0.00000E+00"/>
    <numFmt numFmtId="211" formatCode="_(* #,##0.0000_);_(* \(#,##0.0000\);_(* &quot;-&quot;??_);_(@_)"/>
    <numFmt numFmtId="212" formatCode="_(* #,##0.00000_);_(* \(#,##0.00000\);_(* &quot;-&quot;??_);_(@_)"/>
    <numFmt numFmtId="213" formatCode="#,##0.00000_ ;[Red]\-#,##0.00000\ "/>
    <numFmt numFmtId="214" formatCode="#,##0.000000_ ;[Red]\-#,##0.000000\ "/>
    <numFmt numFmtId="215" formatCode="#,##0.0000000_ ;[Red]\-#,##0.0000000\ "/>
    <numFmt numFmtId="216" formatCode="0.0000000000"/>
    <numFmt numFmtId="217" formatCode="0.0%"/>
  </numFmts>
  <fonts count="22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Comic Sans MS"/>
      <family val="4"/>
    </font>
    <font>
      <sz val="14.75"/>
      <name val="Comic Sans MS"/>
      <family val="0"/>
    </font>
    <font>
      <b/>
      <sz val="14.75"/>
      <name val="Comic Sans MS"/>
      <family val="0"/>
    </font>
    <font>
      <sz val="8.25"/>
      <name val="Arial"/>
      <family val="0"/>
    </font>
    <font>
      <sz val="5.5"/>
      <name val="Arial"/>
      <family val="2"/>
    </font>
    <font>
      <b/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7">
    <xf numFmtId="0" fontId="0" fillId="0" borderId="0">
      <alignment/>
      <protection/>
    </xf>
    <xf numFmtId="12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10" fontId="1" fillId="3" borderId="1" applyNumberFormat="0" applyBorder="0" applyAlignment="0" applyProtection="0"/>
    <xf numFmtId="187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1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0" fontId="11" fillId="0" borderId="0" xfId="0" applyFon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 vertical="top"/>
    </xf>
    <xf numFmtId="178" fontId="0" fillId="0" borderId="0" xfId="0" applyNumberFormat="1" applyAlignment="1">
      <alignment vertical="top"/>
    </xf>
    <xf numFmtId="0" fontId="11" fillId="0" borderId="3" xfId="0" applyFont="1" applyBorder="1" applyAlignment="1">
      <alignment/>
    </xf>
    <xf numFmtId="173" fontId="0" fillId="0" borderId="0" xfId="0" applyNumberForma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0" xfId="0" applyAlignment="1">
      <alignment horizontal="center" wrapText="1"/>
    </xf>
    <xf numFmtId="173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178" fontId="0" fillId="0" borderId="0" xfId="0" applyNumberFormat="1" applyBorder="1" applyAlignment="1">
      <alignment vertical="top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4" borderId="7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217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172" fontId="0" fillId="4" borderId="2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Estimated Fatigue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825"/>
          <c:w val="0.90825"/>
          <c:h val="0.63975"/>
        </c:manualLayout>
      </c:layout>
      <c:scatterChart>
        <c:scatterStyle val="lineMarker"/>
        <c:varyColors val="0"/>
        <c:ser>
          <c:idx val="0"/>
          <c:order val="0"/>
          <c:tx>
            <c:v>Fatigue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0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Fatigue!$G$2:$G$10</c:f>
              <c:numCache>
                <c:ptCount val="9"/>
                <c:pt idx="0">
                  <c:v>0.25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100000</c:v>
                </c:pt>
                <c:pt idx="7">
                  <c:v>1000000</c:v>
                </c:pt>
                <c:pt idx="8">
                  <c:v>10000000</c:v>
                </c:pt>
              </c:numCache>
            </c:numRef>
          </c:xVal>
          <c:yVal>
            <c:numRef>
              <c:f>Fatigue!$H$2:$H$10</c:f>
              <c:numCache>
                <c:ptCount val="9"/>
                <c:pt idx="0">
                  <c:v>0.07517241379310345</c:v>
                </c:pt>
                <c:pt idx="1">
                  <c:v>0.051794828109387514</c:v>
                </c:pt>
                <c:pt idx="2">
                  <c:v>0.028560485649196235</c:v>
                </c:pt>
                <c:pt idx="3">
                  <c:v>0.016426438369818133</c:v>
                </c:pt>
                <c:pt idx="4">
                  <c:v>0.010020751758348333</c:v>
                </c:pt>
                <c:pt idx="5">
                  <c:v>0.006577756946877348</c:v>
                </c:pt>
                <c:pt idx="6">
                  <c:v>0.004672971100548747</c:v>
                </c:pt>
                <c:pt idx="7">
                  <c:v>0.0035721442794192522</c:v>
                </c:pt>
                <c:pt idx="8">
                  <c:v>0.002896302791202937</c:v>
                </c:pt>
              </c:numCache>
            </c:numRef>
          </c:yVal>
          <c:smooth val="1"/>
        </c:ser>
        <c:ser>
          <c:idx val="1"/>
          <c:order val="1"/>
          <c:tx>
            <c:v>AB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Elastic</c:name>
            <c:spPr>
              <a:ln w="12700">
                <a:solidFill>
                  <a:srgbClr val="FF00FF"/>
                </a:solidFill>
                <a:prstDash val="dash"/>
              </a:ln>
            </c:spPr>
            <c:trendlineType val="power"/>
            <c:forward val="1000000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Fatigue!$C$9:$C$10</c:f>
              <c:numCache>
                <c:ptCount val="2"/>
                <c:pt idx="0">
                  <c:v>0.25</c:v>
                </c:pt>
                <c:pt idx="1">
                  <c:v>10000000</c:v>
                </c:pt>
              </c:numCache>
            </c:numRef>
          </c:xVal>
          <c:yVal>
            <c:numRef>
              <c:f>Fatigue!$E$9:$E$10</c:f>
              <c:numCache>
                <c:ptCount val="2"/>
                <c:pt idx="0">
                  <c:v>0.005172413793103448</c:v>
                </c:pt>
                <c:pt idx="1">
                  <c:v>0.0024482637931034484</c:v>
                </c:pt>
              </c:numCache>
            </c:numRef>
          </c:yVal>
          <c:smooth val="0"/>
        </c:ser>
        <c:ser>
          <c:idx val="2"/>
          <c:order val="2"/>
          <c:tx>
            <c:v>CD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name>Plastic</c:name>
            <c:spPr>
              <a:ln w="12700">
                <a:solidFill>
                  <a:srgbClr val="00FF00"/>
                </a:solidFill>
                <a:prstDash val="dash"/>
              </a:ln>
            </c:spPr>
            <c:trendlineType val="power"/>
            <c:forward val="1000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Fatigue!$C$11:$C$12</c:f>
              <c:numCache>
                <c:ptCount val="2"/>
                <c:pt idx="0">
                  <c:v>0.25</c:v>
                </c:pt>
                <c:pt idx="1">
                  <c:v>10000</c:v>
                </c:pt>
              </c:numCache>
            </c:numRef>
          </c:xVal>
          <c:yVal>
            <c:numRef>
              <c:f>Fatigue!$E$11:$E$12</c:f>
              <c:numCache>
                <c:ptCount val="2"/>
                <c:pt idx="0">
                  <c:v>0.07</c:v>
                </c:pt>
                <c:pt idx="1">
                  <c:v>0.0032888784734386744</c:v>
                </c:pt>
              </c:numCache>
            </c:numRef>
          </c:yVal>
          <c:smooth val="0"/>
        </c:ser>
        <c:axId val="61796485"/>
        <c:axId val="19297454"/>
      </c:scatterChart>
      <c:valAx>
        <c:axId val="617964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Cycles To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7454"/>
        <c:crossesAt val="0.001"/>
        <c:crossBetween val="midCat"/>
        <c:dispUnits/>
      </c:valAx>
      <c:valAx>
        <c:axId val="1929745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83"/>
          <c:w val="0.4535"/>
          <c:h val="0.1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Estimated Fatigue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525"/>
          <c:w val="0.94025"/>
          <c:h val="0.79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Fatigue!$G$2:$G$10</c:f>
              <c:numCache>
                <c:ptCount val="9"/>
                <c:pt idx="0">
                  <c:v>0.25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100000</c:v>
                </c:pt>
                <c:pt idx="7">
                  <c:v>1000000</c:v>
                </c:pt>
                <c:pt idx="8">
                  <c:v>10000000</c:v>
                </c:pt>
              </c:numCache>
            </c:numRef>
          </c:xVal>
          <c:yVal>
            <c:numRef>
              <c:f>Fatigue!$I$2:$I$10</c:f>
              <c:numCache>
                <c:ptCount val="9"/>
                <c:pt idx="0">
                  <c:v>149.74079181945763</c:v>
                </c:pt>
                <c:pt idx="1">
                  <c:v>146.71096109418272</c:v>
                </c:pt>
                <c:pt idx="2">
                  <c:v>142.50319484268437</c:v>
                </c:pt>
                <c:pt idx="3">
                  <c:v>138.8089164136602</c:v>
                </c:pt>
                <c:pt idx="4">
                  <c:v>135.39481960795254</c:v>
                </c:pt>
                <c:pt idx="5">
                  <c:v>128.71523397232605</c:v>
                </c:pt>
                <c:pt idx="6">
                  <c:v>110.41397030317903</c:v>
                </c:pt>
                <c:pt idx="7">
                  <c:v>96.45375247466569</c:v>
                </c:pt>
                <c:pt idx="8">
                  <c:v>81.5824037824626</c:v>
                </c:pt>
              </c:numCache>
            </c:numRef>
          </c:yVal>
          <c:smooth val="1"/>
        </c:ser>
        <c:axId val="39459359"/>
        <c:axId val="19589912"/>
      </c:scatterChart>
      <c:valAx>
        <c:axId val="394593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Cycles To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crossBetween val="midCat"/>
        <c:dispUnits/>
      </c:valAx>
      <c:valAx>
        <c:axId val="1958991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Stress Stain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'Stress Strain'!$AI$32</c:f>
              <c:strCache>
                <c:ptCount val="1"/>
                <c:pt idx="0">
                  <c:v>Stress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'Stress Strain'!$AJ$31:$AT$31</c:f>
              <c:numCache>
                <c:ptCount val="11"/>
                <c:pt idx="0">
                  <c:v>0</c:v>
                </c:pt>
                <c:pt idx="1">
                  <c:v>0.0008793130384881825</c:v>
                </c:pt>
                <c:pt idx="2">
                  <c:v>0.0017595299959481888</c:v>
                </c:pt>
                <c:pt idx="3">
                  <c:v>0.0026653284924255402</c:v>
                </c:pt>
                <c:pt idx="4">
                  <c:v>0.003824198364029832</c:v>
                </c:pt>
                <c:pt idx="5">
                  <c:v>0.006396551724137931</c:v>
                </c:pt>
                <c:pt idx="6">
                  <c:v>0.007067552964143261</c:v>
                </c:pt>
                <c:pt idx="7">
                  <c:v>0.01098216290182353</c:v>
                </c:pt>
                <c:pt idx="8">
                  <c:v>0.0215928716572516</c:v>
                </c:pt>
                <c:pt idx="9">
                  <c:v>0.04245128739513363</c:v>
                </c:pt>
                <c:pt idx="10">
                  <c:v>0.07717241379310345</c:v>
                </c:pt>
              </c:numCache>
            </c:numRef>
          </c:xVal>
          <c:yVal>
            <c:numRef>
              <c:f>'Stress Strain'!$AJ$32:$AT$32</c:f>
              <c:numCache>
                <c:ptCount val="11"/>
                <c:pt idx="0">
                  <c:v>0</c:v>
                </c:pt>
                <c:pt idx="1">
                  <c:v>25.5</c:v>
                </c:pt>
                <c:pt idx="2">
                  <c:v>51</c:v>
                </c:pt>
                <c:pt idx="3">
                  <c:v>76.5</c:v>
                </c:pt>
                <c:pt idx="4">
                  <c:v>102</c:v>
                </c:pt>
                <c:pt idx="5">
                  <c:v>127.5</c:v>
                </c:pt>
                <c:pt idx="6">
                  <c:v>132</c:v>
                </c:pt>
                <c:pt idx="7">
                  <c:v>136.5</c:v>
                </c:pt>
                <c:pt idx="8">
                  <c:v>141</c:v>
                </c:pt>
                <c:pt idx="9">
                  <c:v>145.5</c:v>
                </c:pt>
                <c:pt idx="10">
                  <c:v>150</c:v>
                </c:pt>
              </c:numCache>
            </c:numRef>
          </c:yVal>
          <c:smooth val="1"/>
        </c:ser>
        <c:axId val="42091481"/>
        <c:axId val="43279010"/>
      </c:scatterChart>
      <c:val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Strain (in/in)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43279010"/>
        <c:crosses val="autoZero"/>
        <c:crossBetween val="midCat"/>
        <c:dispUnits/>
        <c:majorUnit val="0.01"/>
        <c:minorUnit val="0.0021000000000000003"/>
      </c:val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0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152400</xdr:rowOff>
    </xdr:from>
    <xdr:to>
      <xdr:col>5</xdr:col>
      <xdr:colOff>971550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3246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1066800</xdr:colOff>
      <xdr:row>32</xdr:row>
      <xdr:rowOff>95250</xdr:rowOff>
    </xdr:from>
    <xdr:to>
      <xdr:col>10</xdr:col>
      <xdr:colOff>180975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5419725" y="6429375"/>
        <a:ext cx="4695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514350</xdr:colOff>
      <xdr:row>8</xdr:row>
      <xdr:rowOff>200025</xdr:rowOff>
    </xdr:to>
    <xdr:grpSp>
      <xdr:nvGrpSpPr>
        <xdr:cNvPr id="3" name="Eqp$F$9_0"/>
        <xdr:cNvGrpSpPr>
          <a:grpSpLocks noChangeAspect="1"/>
        </xdr:cNvGrpSpPr>
      </xdr:nvGrpSpPr>
      <xdr:grpSpPr>
        <a:xfrm>
          <a:off x="4352925" y="1628775"/>
          <a:ext cx="514350" cy="200025"/>
          <a:chOff x="0" y="0"/>
          <a:chExt cx="54" cy="22"/>
        </a:xfrm>
        <a:solidFill>
          <a:srgbClr val="FFFFFF"/>
        </a:solidFill>
      </xdr:grpSpPr>
      <xdr:pic>
        <xdr:nvPicPr>
          <xdr:cNvPr id="4" name="Picture 7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4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76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533400</xdr:colOff>
      <xdr:row>11</xdr:row>
      <xdr:rowOff>200025</xdr:rowOff>
    </xdr:to>
    <xdr:grpSp>
      <xdr:nvGrpSpPr>
        <xdr:cNvPr id="6" name="Eqp$F$12_0"/>
        <xdr:cNvGrpSpPr>
          <a:grpSpLocks noChangeAspect="1"/>
        </xdr:cNvGrpSpPr>
      </xdr:nvGrpSpPr>
      <xdr:grpSpPr>
        <a:xfrm>
          <a:off x="4352925" y="2476500"/>
          <a:ext cx="533400" cy="200025"/>
          <a:chOff x="0" y="0"/>
          <a:chExt cx="56" cy="22"/>
        </a:xfrm>
        <a:solidFill>
          <a:srgbClr val="FFFFFF"/>
        </a:solidFill>
      </xdr:grpSpPr>
      <xdr:pic>
        <xdr:nvPicPr>
          <xdr:cNvPr id="7" name="Picture 1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0"/>
            <a:ext cx="56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112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647700</xdr:colOff>
      <xdr:row>15</xdr:row>
      <xdr:rowOff>0</xdr:rowOff>
    </xdr:to>
    <xdr:grpSp>
      <xdr:nvGrpSpPr>
        <xdr:cNvPr id="9" name="Eqp$F$15_0"/>
        <xdr:cNvGrpSpPr>
          <a:grpSpLocks noChangeAspect="1"/>
        </xdr:cNvGrpSpPr>
      </xdr:nvGrpSpPr>
      <xdr:grpSpPr>
        <a:xfrm>
          <a:off x="4352925" y="3181350"/>
          <a:ext cx="647700" cy="209550"/>
          <a:chOff x="0" y="0"/>
          <a:chExt cx="68" cy="22"/>
        </a:xfrm>
        <a:solidFill>
          <a:srgbClr val="FFFFFF"/>
        </a:solidFill>
      </xdr:grpSpPr>
      <xdr:pic>
        <xdr:nvPicPr>
          <xdr:cNvPr id="10" name="Picture 1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0"/>
            <a:ext cx="68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Rectangle 115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733425</xdr:colOff>
      <xdr:row>10</xdr:row>
      <xdr:rowOff>9525</xdr:rowOff>
    </xdr:to>
    <xdr:grpSp>
      <xdr:nvGrpSpPr>
        <xdr:cNvPr id="12" name="Eqp$F$10_0"/>
        <xdr:cNvGrpSpPr>
          <a:grpSpLocks noChangeAspect="1"/>
        </xdr:cNvGrpSpPr>
      </xdr:nvGrpSpPr>
      <xdr:grpSpPr>
        <a:xfrm>
          <a:off x="4352925" y="1952625"/>
          <a:ext cx="733425" cy="209550"/>
          <a:chOff x="0" y="0"/>
          <a:chExt cx="77" cy="22"/>
        </a:xfrm>
        <a:solidFill>
          <a:srgbClr val="FFFFFF"/>
        </a:solidFill>
      </xdr:grpSpPr>
      <xdr:pic>
        <xdr:nvPicPr>
          <xdr:cNvPr id="13" name="Picture 1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77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tangle 118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1238250</xdr:colOff>
      <xdr:row>30</xdr:row>
      <xdr:rowOff>0</xdr:rowOff>
    </xdr:to>
    <xdr:grpSp>
      <xdr:nvGrpSpPr>
        <xdr:cNvPr id="15" name="Eqp$F$30_0"/>
        <xdr:cNvGrpSpPr>
          <a:grpSpLocks noChangeAspect="1"/>
        </xdr:cNvGrpSpPr>
      </xdr:nvGrpSpPr>
      <xdr:grpSpPr>
        <a:xfrm>
          <a:off x="4352925" y="5800725"/>
          <a:ext cx="1238250" cy="209550"/>
          <a:chOff x="0" y="0"/>
          <a:chExt cx="130" cy="22"/>
        </a:xfrm>
        <a:solidFill>
          <a:srgbClr val="FFFFFF"/>
        </a:solidFill>
      </xdr:grpSpPr>
      <xdr:pic>
        <xdr:nvPicPr>
          <xdr:cNvPr id="16" name="Picture 12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0" y="0"/>
            <a:ext cx="130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angle 121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2200275</xdr:colOff>
      <xdr:row>14</xdr:row>
      <xdr:rowOff>9525</xdr:rowOff>
    </xdr:to>
    <xdr:grpSp>
      <xdr:nvGrpSpPr>
        <xdr:cNvPr id="18" name="Eqp$F$14_0"/>
        <xdr:cNvGrpSpPr>
          <a:grpSpLocks noChangeAspect="1"/>
        </xdr:cNvGrpSpPr>
      </xdr:nvGrpSpPr>
      <xdr:grpSpPr>
        <a:xfrm>
          <a:off x="4352925" y="2981325"/>
          <a:ext cx="2200275" cy="209550"/>
          <a:chOff x="0" y="0"/>
          <a:chExt cx="231" cy="22"/>
        </a:xfrm>
        <a:solidFill>
          <a:srgbClr val="FFFFFF"/>
        </a:solidFill>
      </xdr:grpSpPr>
      <xdr:pic>
        <xdr:nvPicPr>
          <xdr:cNvPr id="19" name="Picture 12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231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Rectangle 124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2238375</xdr:colOff>
      <xdr:row>17</xdr:row>
      <xdr:rowOff>9525</xdr:rowOff>
    </xdr:to>
    <xdr:grpSp>
      <xdr:nvGrpSpPr>
        <xdr:cNvPr id="21" name="Eqp$F$17_0"/>
        <xdr:cNvGrpSpPr>
          <a:grpSpLocks noChangeAspect="1"/>
        </xdr:cNvGrpSpPr>
      </xdr:nvGrpSpPr>
      <xdr:grpSpPr>
        <a:xfrm>
          <a:off x="4352925" y="3562350"/>
          <a:ext cx="2238375" cy="209550"/>
          <a:chOff x="0" y="0"/>
          <a:chExt cx="235" cy="22"/>
        </a:xfrm>
        <a:solidFill>
          <a:srgbClr val="FFFFFF"/>
        </a:solidFill>
      </xdr:grpSpPr>
      <xdr:pic>
        <xdr:nvPicPr>
          <xdr:cNvPr id="22" name="Picture 13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0" y="0"/>
            <a:ext cx="235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Rectangle 133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666750</xdr:colOff>
      <xdr:row>18</xdr:row>
      <xdr:rowOff>9525</xdr:rowOff>
    </xdr:to>
    <xdr:grpSp>
      <xdr:nvGrpSpPr>
        <xdr:cNvPr id="24" name="Eqp$F$18_0"/>
        <xdr:cNvGrpSpPr>
          <a:grpSpLocks noChangeAspect="1"/>
        </xdr:cNvGrpSpPr>
      </xdr:nvGrpSpPr>
      <xdr:grpSpPr>
        <a:xfrm>
          <a:off x="4352925" y="3762375"/>
          <a:ext cx="666750" cy="209550"/>
          <a:chOff x="0" y="0"/>
          <a:chExt cx="70" cy="22"/>
        </a:xfrm>
        <a:solidFill>
          <a:srgbClr val="FFFFFF"/>
        </a:solidFill>
      </xdr:grpSpPr>
      <xdr:pic>
        <xdr:nvPicPr>
          <xdr:cNvPr id="25" name="Picture 138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0" y="0"/>
            <a:ext cx="70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139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285750</xdr:colOff>
      <xdr:row>10</xdr:row>
      <xdr:rowOff>200025</xdr:rowOff>
    </xdr:to>
    <xdr:grpSp>
      <xdr:nvGrpSpPr>
        <xdr:cNvPr id="27" name="Eqp$F$11_0"/>
        <xdr:cNvGrpSpPr>
          <a:grpSpLocks noChangeAspect="1"/>
        </xdr:cNvGrpSpPr>
      </xdr:nvGrpSpPr>
      <xdr:grpSpPr>
        <a:xfrm>
          <a:off x="4352925" y="2152650"/>
          <a:ext cx="285750" cy="200025"/>
          <a:chOff x="0" y="0"/>
          <a:chExt cx="30" cy="22"/>
        </a:xfrm>
        <a:solidFill>
          <a:srgbClr val="FFFFFF"/>
        </a:solidFill>
      </xdr:grpSpPr>
      <xdr:pic>
        <xdr:nvPicPr>
          <xdr:cNvPr id="28" name="Picture 14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0" y="0"/>
            <a:ext cx="30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Rectangle 142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57150</xdr:rowOff>
    </xdr:from>
    <xdr:to>
      <xdr:col>45</xdr:col>
      <xdr:colOff>533400</xdr:colOff>
      <xdr:row>28</xdr:row>
      <xdr:rowOff>95250</xdr:rowOff>
    </xdr:to>
    <xdr:graphicFrame>
      <xdr:nvGraphicFramePr>
        <xdr:cNvPr id="2" name="Chart 10"/>
        <xdr:cNvGraphicFramePr/>
      </xdr:nvGraphicFramePr>
      <xdr:xfrm>
        <a:off x="2895600" y="57150"/>
        <a:ext cx="116490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9</xdr:row>
      <xdr:rowOff>0</xdr:rowOff>
    </xdr:from>
    <xdr:to>
      <xdr:col>10</xdr:col>
      <xdr:colOff>171450</xdr:colOff>
      <xdr:row>9</xdr:row>
      <xdr:rowOff>171450</xdr:rowOff>
    </xdr:to>
    <xdr:pic>
      <xdr:nvPicPr>
        <xdr:cNvPr id="3" name="Eqp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762125"/>
          <a:ext cx="1314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10</xdr:col>
      <xdr:colOff>133350</xdr:colOff>
      <xdr:row>11</xdr:row>
      <xdr:rowOff>171450</xdr:rowOff>
    </xdr:to>
    <xdr:pic>
      <xdr:nvPicPr>
        <xdr:cNvPr id="4" name="Eqp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152650"/>
          <a:ext cx="1276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11</xdr:col>
      <xdr:colOff>57150</xdr:colOff>
      <xdr:row>14</xdr:row>
      <xdr:rowOff>9525</xdr:rowOff>
    </xdr:to>
    <xdr:pic>
      <xdr:nvPicPr>
        <xdr:cNvPr id="5" name="Eqp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431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11</xdr:col>
      <xdr:colOff>114300</xdr:colOff>
      <xdr:row>17</xdr:row>
      <xdr:rowOff>19050</xdr:rowOff>
    </xdr:to>
    <xdr:pic>
      <xdr:nvPicPr>
        <xdr:cNvPr id="6" name="Eqp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293370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12</xdr:col>
      <xdr:colOff>28575</xdr:colOff>
      <xdr:row>18</xdr:row>
      <xdr:rowOff>9525</xdr:rowOff>
    </xdr:to>
    <xdr:pic>
      <xdr:nvPicPr>
        <xdr:cNvPr id="7" name="Eqp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3324225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12</xdr:col>
      <xdr:colOff>19050</xdr:colOff>
      <xdr:row>19</xdr:row>
      <xdr:rowOff>180975</xdr:rowOff>
    </xdr:to>
    <xdr:pic>
      <xdr:nvPicPr>
        <xdr:cNvPr id="8" name="Eqp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352425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12</xdr:col>
      <xdr:colOff>161925</xdr:colOff>
      <xdr:row>22</xdr:row>
      <xdr:rowOff>28575</xdr:rowOff>
    </xdr:to>
    <xdr:pic>
      <xdr:nvPicPr>
        <xdr:cNvPr id="9" name="Eqp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905250"/>
          <a:ext cx="1685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33</xdr:col>
      <xdr:colOff>9525</xdr:colOff>
      <xdr:row>32</xdr:row>
      <xdr:rowOff>47625</xdr:rowOff>
    </xdr:to>
    <xdr:pic>
      <xdr:nvPicPr>
        <xdr:cNvPr id="10" name="Eqp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1575" y="5810250"/>
          <a:ext cx="553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ldata01\public\project025\engineering\mechanical\Calculations\Internal%20Pipework\Stilling%20Well\Determination%20Of%20Stress%20Concentration%20Factor%20At%20Ho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Nev%20Stokes\75%20-KGE\Heatbreak%20Design\Blank%20HB%20Spreadsheets\Blank%20HB%20KGE%20case%2015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hessoe\John_Doyle\Pipe%20Support%20Stressing\Stillingwell%20DL\Stillingwell%20Upper%20EC3%20Calcs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ORKSPACE\Projects\My%20Excel%20Add-in\Subscript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 Fac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20"/>
      <sheetName val="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pe SA Loads"/>
      <sheetName val="Rfor"/>
      <sheetName val="upper"/>
      <sheetName val="Lower"/>
      <sheetName val="EC3 Check_U"/>
      <sheetName val="EC3 Check_L"/>
      <sheetName val="Weld forc"/>
      <sheetName val="Weld (2)"/>
      <sheetName val="Sketch"/>
      <sheetName val="MassU"/>
      <sheetName val="Factored DC"/>
      <sheetName val="weld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alc (2)"/>
      <sheetName val="Calc"/>
      <sheetName val="Modal"/>
      <sheetName val="~#undo"/>
      <sheetName val="CalcSht"/>
      <sheetName val="~#temp"/>
      <sheetName val="Sheet3"/>
      <sheetName val="Samples"/>
      <sheetName val="Calcs"/>
      <sheetName val="Fill"/>
      <sheetName val="numbers"/>
      <sheetName val="SecProp"/>
      <sheetName val="To do"/>
      <sheetName val="Pin"/>
      <sheetName val="St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7">
      <selection activeCell="C56" sqref="C56"/>
    </sheetView>
  </sheetViews>
  <sheetFormatPr defaultColWidth="9.140625" defaultRowHeight="12.75"/>
  <cols>
    <col min="1" max="1" width="23.8515625" style="2" customWidth="1"/>
    <col min="2" max="2" width="7.421875" style="2" customWidth="1"/>
    <col min="3" max="3" width="17.00390625" style="0" bestFit="1" customWidth="1"/>
    <col min="4" max="4" width="7.421875" style="2" customWidth="1"/>
    <col min="5" max="5" width="9.57421875" style="0" bestFit="1" customWidth="1"/>
    <col min="6" max="6" width="36.421875" style="0" customWidth="1"/>
    <col min="7" max="7" width="12.7109375" style="3" customWidth="1"/>
    <col min="8" max="9" width="12.7109375" style="0" customWidth="1"/>
  </cols>
  <sheetData>
    <row r="1" spans="1:9" ht="26.25" thickBot="1">
      <c r="A1" s="16" t="s">
        <v>57</v>
      </c>
      <c r="B1" s="16"/>
      <c r="D1" s="16"/>
      <c r="G1" s="16" t="s">
        <v>55</v>
      </c>
      <c r="H1" s="16" t="s">
        <v>54</v>
      </c>
      <c r="I1" s="16" t="s">
        <v>56</v>
      </c>
    </row>
    <row r="2" spans="1:9" ht="15.75">
      <c r="A2" s="16" t="s">
        <v>16</v>
      </c>
      <c r="B2" s="39" t="s">
        <v>62</v>
      </c>
      <c r="C2" s="33">
        <v>150000</v>
      </c>
      <c r="D2" s="39"/>
      <c r="G2" s="17">
        <v>0.25</v>
      </c>
      <c r="H2" s="19">
        <f aca="true" t="shared" si="0" ref="H2:H10">E$18*G2^E$17+E$15*G2^E$14</f>
        <v>0.07517241379310345</v>
      </c>
      <c r="I2" s="18">
        <f>'Stress Strain'!AH37</f>
        <v>149.74079181945763</v>
      </c>
    </row>
    <row r="3" spans="1:9" ht="15.75">
      <c r="A3" s="16" t="s">
        <v>11</v>
      </c>
      <c r="B3" s="39" t="s">
        <v>63</v>
      </c>
      <c r="C3" s="34">
        <v>127500</v>
      </c>
      <c r="D3" s="39"/>
      <c r="G3" s="17">
        <v>1</v>
      </c>
      <c r="H3" s="19">
        <f t="shared" si="0"/>
        <v>0.051794828109387514</v>
      </c>
      <c r="I3" s="18">
        <f>'Stress Strain'!AH38</f>
        <v>146.71096109418272</v>
      </c>
    </row>
    <row r="4" spans="1:9" ht="15.75">
      <c r="A4" s="16" t="s">
        <v>17</v>
      </c>
      <c r="B4" s="39" t="s">
        <v>4</v>
      </c>
      <c r="C4" s="35">
        <v>0.07</v>
      </c>
      <c r="D4" s="39" t="s">
        <v>4</v>
      </c>
      <c r="E4">
        <f>LN(_XLL.OVD(1)/_XLL.UND(1-C5))</f>
        <v>0.22314355131420976</v>
      </c>
      <c r="G4" s="17">
        <v>10</v>
      </c>
      <c r="H4" s="19">
        <f t="shared" si="0"/>
        <v>0.028560485649196235</v>
      </c>
      <c r="I4" s="18">
        <f>'Stress Strain'!AH39</f>
        <v>142.50319484268437</v>
      </c>
    </row>
    <row r="5" spans="1:9" ht="15.75">
      <c r="A5" s="16" t="s">
        <v>18</v>
      </c>
      <c r="B5" s="39" t="s">
        <v>5</v>
      </c>
      <c r="C5" s="35">
        <v>0.2</v>
      </c>
      <c r="D5" s="39"/>
      <c r="G5" s="17">
        <v>100</v>
      </c>
      <c r="H5" s="19">
        <f t="shared" si="0"/>
        <v>0.016426438369818133</v>
      </c>
      <c r="I5" s="18">
        <f>'Stress Strain'!AH40</f>
        <v>138.8089164136602</v>
      </c>
    </row>
    <row r="6" spans="1:9" ht="13.5" thickBot="1">
      <c r="A6" s="16" t="s">
        <v>19</v>
      </c>
      <c r="B6" s="39" t="s">
        <v>64</v>
      </c>
      <c r="C6" s="36">
        <v>29000000</v>
      </c>
      <c r="D6" s="39"/>
      <c r="G6" s="17">
        <v>1000</v>
      </c>
      <c r="H6" s="19">
        <f t="shared" si="0"/>
        <v>0.010020751758348333</v>
      </c>
      <c r="I6" s="18">
        <f>'Stress Strain'!AH41</f>
        <v>135.39481960795254</v>
      </c>
    </row>
    <row r="7" spans="1:9" ht="12.75">
      <c r="A7" s="16"/>
      <c r="B7" s="16"/>
      <c r="D7" s="16"/>
      <c r="G7" s="17">
        <v>10000</v>
      </c>
      <c r="H7" s="19">
        <f t="shared" si="0"/>
        <v>0.006577756946877348</v>
      </c>
      <c r="I7" s="18">
        <f>'Stress Strain'!AH42</f>
        <v>128.71523397232605</v>
      </c>
    </row>
    <row r="8" spans="1:9" ht="12.75">
      <c r="A8" s="16"/>
      <c r="B8" s="16"/>
      <c r="C8" s="31" t="s">
        <v>20</v>
      </c>
      <c r="D8" s="16"/>
      <c r="E8" s="32" t="s">
        <v>22</v>
      </c>
      <c r="G8" s="17">
        <v>100000</v>
      </c>
      <c r="H8" s="19">
        <f t="shared" si="0"/>
        <v>0.004672971100548747</v>
      </c>
      <c r="I8" s="18">
        <f>'Stress Strain'!AH43</f>
        <v>110.41397030317903</v>
      </c>
    </row>
    <row r="9" spans="1:9" ht="25.5">
      <c r="A9" s="16" t="s">
        <v>15</v>
      </c>
      <c r="B9" s="39" t="s">
        <v>69</v>
      </c>
      <c r="C9" s="4">
        <f>0.25</f>
        <v>0.25</v>
      </c>
      <c r="D9" s="39" t="s">
        <v>10</v>
      </c>
      <c r="E9" s="5">
        <f>C2/C$6</f>
        <v>0.005172413793103448</v>
      </c>
      <c r="F9">
        <f>_XLL.EQS(E9,"Units= ; EqnPrefix=Eqn. ; EqnNo= 0; Multiplication= 0; ShowWorking= 0; EqnStyle= 0; Eqp$F$9_0")</f>
      </c>
      <c r="G9" s="17">
        <v>1000000</v>
      </c>
      <c r="H9" s="19">
        <f t="shared" si="0"/>
        <v>0.0035721442794192522</v>
      </c>
      <c r="I9" s="18">
        <f>'Stress Strain'!AH44</f>
        <v>96.45375247466569</v>
      </c>
    </row>
    <row r="10" spans="1:9" ht="15.75">
      <c r="A10" s="16" t="s">
        <v>12</v>
      </c>
      <c r="B10" s="39" t="s">
        <v>6</v>
      </c>
      <c r="C10" s="4">
        <f>10000000</f>
        <v>10000000</v>
      </c>
      <c r="D10" s="39" t="s">
        <v>9</v>
      </c>
      <c r="E10" s="5">
        <f>(C3*E30)/C$6</f>
        <v>0.0024482637931034484</v>
      </c>
      <c r="F10">
        <f>_XLL.EQS(E10,"Units= ; EqnPrefix=Eqn. ; EqnNo= 0; Multiplication= 0; ShowWorking= 0; EqnStyle= 0; Eqp$F$10_0")</f>
      </c>
      <c r="G10" s="17">
        <v>10000000</v>
      </c>
      <c r="H10" s="19">
        <f t="shared" si="0"/>
        <v>0.002896302791202937</v>
      </c>
      <c r="I10" s="18">
        <f>'Stress Strain'!AH45</f>
        <v>81.5824037824626</v>
      </c>
    </row>
    <row r="11" spans="1:6" ht="25.5">
      <c r="A11" s="16" t="s">
        <v>13</v>
      </c>
      <c r="B11" s="39" t="s">
        <v>7</v>
      </c>
      <c r="C11" s="4">
        <v>0.25</v>
      </c>
      <c r="D11" s="39" t="s">
        <v>0</v>
      </c>
      <c r="E11" s="5">
        <f>C4</f>
        <v>0.07</v>
      </c>
      <c r="F11">
        <f>_XLL.EQS(E11,"Units= ; EqnPrefix=Eqn. ; EqnNo= 0; Multiplication= 0; ShowWorking= 0; EqnStyle= 0; Eqp$F$11_0")</f>
      </c>
    </row>
    <row r="12" spans="1:9" ht="26.25" thickBot="1">
      <c r="A12" s="16" t="s">
        <v>14</v>
      </c>
      <c r="B12" s="39" t="s">
        <v>8</v>
      </c>
      <c r="C12" s="4">
        <f>10000</f>
        <v>10000</v>
      </c>
      <c r="D12" s="39" t="s">
        <v>1</v>
      </c>
      <c r="E12" s="5">
        <f>E15*C12^E14</f>
        <v>0.0032888784734386744</v>
      </c>
      <c r="F12">
        <f>_XLL.EQS(E12,"Units= ; EqnPrefix=Eqn. ; EqnNo= 0; Multiplication= 0; ShowWorking= 0; EqnStyle= 0; Eqp$F$12_0")</f>
      </c>
      <c r="G12" s="32" t="s">
        <v>58</v>
      </c>
      <c r="H12" s="16" t="s">
        <v>60</v>
      </c>
      <c r="I12" s="16" t="s">
        <v>61</v>
      </c>
    </row>
    <row r="13" spans="1:9" ht="13.5" thickBot="1">
      <c r="A13" s="16"/>
      <c r="B13" s="16"/>
      <c r="D13" s="16"/>
      <c r="E13" s="3"/>
      <c r="G13" s="37">
        <f>8*12</f>
        <v>96</v>
      </c>
      <c r="H13" s="19">
        <f>H2*G$13</f>
        <v>7.216551724137931</v>
      </c>
      <c r="I13" s="18">
        <f>I2*PI()*G$16^2/4</f>
        <v>183.7595982510651</v>
      </c>
    </row>
    <row r="14" spans="1:9" ht="15.75">
      <c r="A14" s="16" t="s">
        <v>26</v>
      </c>
      <c r="B14" s="16"/>
      <c r="C14" s="43"/>
      <c r="D14" s="43" t="s">
        <v>67</v>
      </c>
      <c r="E14" s="6">
        <f>(LOG(E10)-LOG(E9))/(LOG(C10)-LOG(C9))</f>
        <v>-0.042729872113707226</v>
      </c>
      <c r="F14">
        <f>_XLL.EQS(E14,"Units= ; EqnPrefix=Eqn. ; EqnNo= 0; Multiplication= 0; ShowWorking= 0; EqnStyle= 0; Eqp$F$14_0")</f>
      </c>
      <c r="H14" s="19">
        <f aca="true" t="shared" si="1" ref="H13:H21">H3*G$13</f>
        <v>4.972303498501201</v>
      </c>
      <c r="I14" s="18">
        <f aca="true" t="shared" si="2" ref="I14:I21">I3*PI()*G$16^2/4</f>
        <v>180.04143655257124</v>
      </c>
    </row>
    <row r="15" spans="1:9" ht="16.5" thickBot="1">
      <c r="A15" s="16" t="s">
        <v>27</v>
      </c>
      <c r="B15" s="16"/>
      <c r="C15" s="43"/>
      <c r="D15" s="43" t="s">
        <v>68</v>
      </c>
      <c r="E15" s="6">
        <f>E9/C9^E14</f>
        <v>0.004874917997814338</v>
      </c>
      <c r="F15">
        <f>_XLL.EQS(E15,"Units= ; EqnPrefix=Eqn. ; EqnNo= 0; Multiplication= 0; ShowWorking= 0; EqnStyle= 0; Eqp$F$15_0")</f>
      </c>
      <c r="G15" s="32" t="s">
        <v>59</v>
      </c>
      <c r="H15" s="19">
        <f t="shared" si="1"/>
        <v>2.7418066223228386</v>
      </c>
      <c r="I15" s="18">
        <f t="shared" si="2"/>
        <v>174.8777304808016</v>
      </c>
    </row>
    <row r="16" spans="1:9" ht="13.5" thickBot="1">
      <c r="A16" s="16"/>
      <c r="B16" s="16"/>
      <c r="D16" s="16"/>
      <c r="E16" s="3"/>
      <c r="G16" s="37">
        <v>1.25</v>
      </c>
      <c r="H16" s="19">
        <f t="shared" si="1"/>
        <v>1.5769380835025406</v>
      </c>
      <c r="I16" s="18">
        <f t="shared" si="2"/>
        <v>170.34416877262285</v>
      </c>
    </row>
    <row r="17" spans="1:9" ht="15.75">
      <c r="A17" s="16" t="s">
        <v>28</v>
      </c>
      <c r="B17" s="16"/>
      <c r="D17" s="39" t="s">
        <v>2</v>
      </c>
      <c r="E17" s="5">
        <f>(LOG(E12)-LOG(E11))/(LOG(C12)-LOG(C11))</f>
        <v>-0.28857733629051724</v>
      </c>
      <c r="F17">
        <f>_XLL.EQS(E17,"Units= ; EqnPrefix=Eqn. ; EqnNo= 0; Multiplication= 0; ShowWorking= 0; EqnStyle= 0; Eqp$F$17_0")</f>
      </c>
      <c r="H17" s="19">
        <f t="shared" si="1"/>
        <v>0.96199216880144</v>
      </c>
      <c r="I17" s="18">
        <f t="shared" si="2"/>
        <v>166.15444164627306</v>
      </c>
    </row>
    <row r="18" spans="1:9" ht="15.75">
      <c r="A18" s="16" t="s">
        <v>29</v>
      </c>
      <c r="B18" s="16"/>
      <c r="D18" s="39" t="s">
        <v>3</v>
      </c>
      <c r="E18" s="5">
        <f>E11/C11^E17</f>
        <v>0.046919910111573176</v>
      </c>
      <c r="F18">
        <f>_XLL.EQS(E18,"Units= ; EqnPrefix=Eqn. ; EqnNo= 0; Multiplication= 0; ShowWorking= 0; EqnStyle= 0; Eqp$F$18_0")</f>
      </c>
      <c r="H18" s="19">
        <f t="shared" si="1"/>
        <v>0.6314646669002254</v>
      </c>
      <c r="I18" s="18">
        <f t="shared" si="2"/>
        <v>157.95735681740268</v>
      </c>
    </row>
    <row r="19" spans="1:9" ht="12.75">
      <c r="A19" s="16"/>
      <c r="B19" s="16"/>
      <c r="D19" s="16"/>
      <c r="H19" s="19">
        <f t="shared" si="1"/>
        <v>0.4486052256526797</v>
      </c>
      <c r="I19" s="18">
        <f t="shared" si="2"/>
        <v>135.49832732740188</v>
      </c>
    </row>
    <row r="20" spans="1:9" ht="12.75">
      <c r="A20" s="16"/>
      <c r="B20" s="16"/>
      <c r="D20" s="16"/>
      <c r="H20" s="19">
        <f t="shared" si="1"/>
        <v>0.3429258508242482</v>
      </c>
      <c r="I20" s="18">
        <f t="shared" si="2"/>
        <v>118.36656257249143</v>
      </c>
    </row>
    <row r="21" spans="1:9" ht="12.75">
      <c r="A21" s="16" t="s">
        <v>23</v>
      </c>
      <c r="B21" s="16"/>
      <c r="C21" s="31" t="s">
        <v>24</v>
      </c>
      <c r="D21" s="16"/>
      <c r="E21" s="31" t="s">
        <v>25</v>
      </c>
      <c r="H21" s="19">
        <f t="shared" si="1"/>
        <v>0.27804506795548195</v>
      </c>
      <c r="I21" s="18">
        <f t="shared" si="2"/>
        <v>100.1166720254612</v>
      </c>
    </row>
    <row r="22" spans="3:5" ht="12.75">
      <c r="C22" s="4">
        <v>0.1</v>
      </c>
      <c r="E22" s="4">
        <v>0.5</v>
      </c>
    </row>
    <row r="23" spans="3:5" ht="12.75">
      <c r="C23" s="4">
        <v>0.2</v>
      </c>
      <c r="E23" s="4">
        <v>0.6125</v>
      </c>
    </row>
    <row r="24" spans="3:5" ht="12.75">
      <c r="C24" s="4">
        <v>0.3</v>
      </c>
      <c r="E24" s="4">
        <v>0.725</v>
      </c>
    </row>
    <row r="25" spans="3:5" ht="12.75">
      <c r="C25" s="4">
        <v>0.4</v>
      </c>
      <c r="E25" s="4">
        <v>0.8375</v>
      </c>
    </row>
    <row r="26" spans="3:5" ht="12.75">
      <c r="C26" s="4">
        <v>0.5</v>
      </c>
      <c r="E26" s="4">
        <v>0.95</v>
      </c>
    </row>
    <row r="27" spans="3:5" ht="12.75">
      <c r="C27" s="4">
        <v>0.55</v>
      </c>
      <c r="E27" s="4">
        <v>1</v>
      </c>
    </row>
    <row r="28" ht="13.5" thickBot="1"/>
    <row r="29" spans="2:4" ht="16.5" thickBot="1">
      <c r="B29" s="39" t="s">
        <v>65</v>
      </c>
      <c r="C29" s="1">
        <f>1-(C3/C2)</f>
        <v>0.15000000000000002</v>
      </c>
      <c r="D29" s="39"/>
    </row>
    <row r="30" spans="3:6" ht="16.5" thickBot="1">
      <c r="C30" s="43"/>
      <c r="D30" s="43" t="s">
        <v>66</v>
      </c>
      <c r="E30" s="1">
        <f>1.1164*C29+0.3894</f>
        <v>0.55686</v>
      </c>
      <c r="F30">
        <f>_XLL.EQS(E30,"Units= ; EqnPrefix=Eqn. ; EqnNo= 0; Multiplication= 0; ShowWorking= 0; EqnStyle= 0; Eqp$F$30_0")</f>
      </c>
    </row>
    <row r="31" ht="12.75"/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5" ht="12.75">
      <c r="A36"/>
      <c r="B36"/>
      <c r="D36"/>
      <c r="E36" s="12"/>
    </row>
    <row r="37" spans="1:6" ht="12.75">
      <c r="A37"/>
      <c r="B37"/>
      <c r="D37"/>
      <c r="F37" s="12"/>
    </row>
    <row r="38" spans="1:4" ht="12.75">
      <c r="A38"/>
      <c r="B38"/>
      <c r="D38"/>
    </row>
  </sheetData>
  <printOptions horizontalCentered="1" verticalCentered="1"/>
  <pageMargins left="0.75" right="0.75" top="1" bottom="1" header="0.5" footer="0.5"/>
  <pageSetup fitToHeight="3" horizontalDpi="600" verticalDpi="600" orientation="portrait" scale="94" r:id="rId2"/>
  <headerFooter alignWithMargins="0">
    <oddHeader>&amp;L&amp;F&amp;R&amp;A</oddHeader>
  </headerFooter>
  <rowBreaks count="2" manualBreakCount="2">
    <brk id="29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2.75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12.75">
      <c r="A11" s="4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52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defaultGridColor="0" zoomScaleSheetLayoutView="100" colorId="44" workbookViewId="0" topLeftCell="A1">
      <selection activeCell="AI37" sqref="AI37"/>
    </sheetView>
  </sheetViews>
  <sheetFormatPr defaultColWidth="9.140625" defaultRowHeight="12.75"/>
  <cols>
    <col min="1" max="3" width="2.8515625" style="7" customWidth="1"/>
    <col min="4" max="4" width="9.00390625" style="7" bestFit="1" customWidth="1"/>
    <col min="5" max="33" width="2.8515625" style="7" customWidth="1"/>
    <col min="34" max="16384" width="9.140625" style="7" customWidth="1"/>
  </cols>
  <sheetData>
    <row r="1" spans="1:33" ht="16.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15">
      <c r="A2" s="21"/>
      <c r="B2" s="22"/>
      <c r="C2" s="23"/>
      <c r="D2" s="23"/>
      <c r="E2" s="2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5">
      <c r="A3" s="21"/>
      <c r="B3" s="23" t="s">
        <v>30</v>
      </c>
      <c r="C3" s="23"/>
      <c r="D3" s="23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48" ht="15.75">
      <c r="A4" s="21"/>
      <c r="B4" s="23"/>
      <c r="C4" s="24" t="s">
        <v>41</v>
      </c>
      <c r="D4" s="23">
        <f>Fatigue!C2/1000</f>
        <v>150</v>
      </c>
      <c r="E4" s="23" t="s">
        <v>52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U4"/>
      <c r="AV4"/>
    </row>
    <row r="5" spans="1:48" ht="15">
      <c r="A5" s="21"/>
      <c r="B5" s="23" t="s">
        <v>31</v>
      </c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U5"/>
      <c r="AV5"/>
    </row>
    <row r="6" spans="1:48" ht="15.75">
      <c r="A6" s="21"/>
      <c r="B6" s="23"/>
      <c r="C6" s="24" t="s">
        <v>42</v>
      </c>
      <c r="D6" s="23">
        <f>Fatigue!C3/1000</f>
        <v>127.5</v>
      </c>
      <c r="E6" s="23" t="s">
        <v>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U6"/>
      <c r="AV6"/>
    </row>
    <row r="7" spans="1:48" ht="15">
      <c r="A7" s="21"/>
      <c r="B7" s="23" t="s">
        <v>32</v>
      </c>
      <c r="C7" s="23"/>
      <c r="D7" s="23"/>
      <c r="E7" s="2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U7"/>
      <c r="AV7"/>
    </row>
    <row r="8" spans="1:48" ht="15.75">
      <c r="A8" s="21"/>
      <c r="B8" s="23"/>
      <c r="C8" s="25" t="s">
        <v>43</v>
      </c>
      <c r="D8" s="26">
        <f>Fatigue!C6/1000</f>
        <v>29000</v>
      </c>
      <c r="E8" s="23" t="s">
        <v>52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U8" s="8"/>
      <c r="AV8" s="8"/>
    </row>
    <row r="9" spans="1:48" ht="15">
      <c r="A9" s="21"/>
      <c r="B9" s="23" t="s">
        <v>33</v>
      </c>
      <c r="C9" s="23"/>
      <c r="D9" s="23"/>
      <c r="E9" s="2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U9"/>
      <c r="AV9"/>
    </row>
    <row r="10" spans="1:48" ht="15.75">
      <c r="A10" s="21"/>
      <c r="B10" s="23"/>
      <c r="C10" s="24" t="s">
        <v>44</v>
      </c>
      <c r="D10" s="23">
        <f>0.2/100</f>
        <v>0.002</v>
      </c>
      <c r="E10" s="23">
        <f>_XLL.EQS(D10,"Units= ; EqnPrefix=Eqn.; EqnNo= 1; Multiplication= 1; ShowWorking= 0; EqnStyle= 1; Eqp 36")</f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U10"/>
      <c r="AV10"/>
    </row>
    <row r="11" spans="1:48" ht="15">
      <c r="A11" s="21"/>
      <c r="B11" s="23" t="s">
        <v>34</v>
      </c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U11"/>
      <c r="AV11"/>
    </row>
    <row r="12" spans="1:48" ht="15.75">
      <c r="A12" s="21"/>
      <c r="B12" s="23"/>
      <c r="C12" s="24" t="s">
        <v>45</v>
      </c>
      <c r="D12" s="23">
        <f>Fatigue!C4</f>
        <v>0.07</v>
      </c>
      <c r="E12" s="23">
        <f>_XLL.EQS(D12,"Units= ; EqnPrefix=Eqn.; EqnNo= 2; Multiplication= 1; ShowWorking= 0; EqnStyle= 1; Eqp 37")</f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U12"/>
      <c r="AV12"/>
    </row>
    <row r="13" spans="1:48" ht="15">
      <c r="A13" s="21"/>
      <c r="B13" s="23" t="s">
        <v>35</v>
      </c>
      <c r="C13" s="23"/>
      <c r="D13" s="23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U13"/>
      <c r="AV13"/>
    </row>
    <row r="14" spans="1:48" ht="15.75">
      <c r="A14" s="21"/>
      <c r="B14" s="23"/>
      <c r="C14" s="24" t="s">
        <v>46</v>
      </c>
      <c r="D14" s="23">
        <f>D6/2</f>
        <v>63.75</v>
      </c>
      <c r="E14" s="23">
        <f>_XLL.EQS(D14,"Units= ksi; EqnPrefix=Eqn.; EqnNo= 3; Multiplication= 1; ShowWorking= 0; EqnStyle= 1; Eqp 38")</f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U14"/>
      <c r="AV14"/>
    </row>
    <row r="15" spans="1:48" ht="15">
      <c r="A15" s="21"/>
      <c r="B15" s="23" t="s">
        <v>36</v>
      </c>
      <c r="C15" s="23"/>
      <c r="D15" s="26"/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U15" s="8"/>
      <c r="AV15" s="8"/>
    </row>
    <row r="16" spans="1:48" ht="15.75">
      <c r="A16" s="21"/>
      <c r="B16" s="23"/>
      <c r="C16" s="27" t="s">
        <v>47</v>
      </c>
      <c r="D16" s="28">
        <f>_XLL.OVD(D4-D6)/_XLL.UND(D12-D10)</f>
        <v>330.88235294117646</v>
      </c>
      <c r="E16" s="29">
        <f>_XLL.EQS(D16,"Units= ksi; EqnPrefix=Eqn.; EqnNo= 4; Multiplication= 1; ShowWorking= 0; EqnStyle= 1; Eqp 39")</f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U16" s="9"/>
      <c r="AV16" s="9"/>
    </row>
    <row r="17" spans="1:48" ht="15">
      <c r="A17" s="21"/>
      <c r="B17" s="23"/>
      <c r="C17" s="27"/>
      <c r="D17" s="28"/>
      <c r="E17" s="2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U17" s="9"/>
      <c r="AV17" s="9"/>
    </row>
    <row r="18" spans="1:48" ht="15.75">
      <c r="A18" s="21"/>
      <c r="B18" s="23"/>
      <c r="C18" s="24" t="s">
        <v>48</v>
      </c>
      <c r="D18" s="23">
        <f>0.7*D6</f>
        <v>89.25</v>
      </c>
      <c r="E18" s="23">
        <f>_XLL.EQS(D18,"Units= ksi; EqnPrefix=Eqn.; EqnNo= 5; Multiplication= 1; ShowWorking= 0; EqnStyle= 1; Eqp 40")</f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U18"/>
      <c r="AV18"/>
    </row>
    <row r="19" spans="1:48" ht="15">
      <c r="A19" s="21"/>
      <c r="B19" s="23"/>
      <c r="C19" s="27" t="s">
        <v>37</v>
      </c>
      <c r="D19" s="30">
        <f>_XLL.OVD(LN(20))/_XLL.UND(LN(D6/D18))</f>
        <v>8.399054445687614</v>
      </c>
      <c r="E19" s="29">
        <f>_XLL.EQS(D19,"Units= ; EqnPrefix=Eqn.; EqnNo= 6; Multiplication= 1; ShowWorking= 0; EqnStyle= 1; Eqp 41")</f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U19" s="10"/>
      <c r="AV19" s="10"/>
    </row>
    <row r="20" spans="1:48" ht="15">
      <c r="A20" s="21"/>
      <c r="B20" s="23"/>
      <c r="C20" s="27"/>
      <c r="D20" s="30"/>
      <c r="E20" s="2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U20" s="10"/>
      <c r="AV20" s="10"/>
    </row>
    <row r="21" spans="1:48" ht="15">
      <c r="A21" s="21"/>
      <c r="B21" s="23"/>
      <c r="C21" s="27" t="s">
        <v>38</v>
      </c>
      <c r="D21" s="30">
        <f>1+2.413*_XLL.OVD(D6)/_XLL.UND(D4)</f>
        <v>3.0510499999999996</v>
      </c>
      <c r="E21" s="29">
        <f>_XLL.EQS(D21,"Units= ; EqnPrefix=Eqn.; EqnNo= 7; Multiplication= 1; ShowWorking= 0; EqnStyle= 1; Eqp 42")</f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U21" s="10"/>
      <c r="AV21" s="10"/>
    </row>
    <row r="22" spans="1:33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5">
      <c r="A23" s="21" t="s">
        <v>39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48" ht="15">
      <c r="A24" s="21"/>
      <c r="B24" s="21"/>
      <c r="C24" s="24" t="s">
        <v>49</v>
      </c>
      <c r="D24" s="23">
        <f>D6/D8+0.002</f>
        <v>0.006396551724137931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U24"/>
      <c r="AV24"/>
    </row>
    <row r="25" spans="1:33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5">
      <c r="A29" s="21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>
      <c r="A30" s="21"/>
      <c r="B30" s="21"/>
      <c r="C30" s="24" t="s">
        <v>50</v>
      </c>
      <c r="D30" s="21">
        <v>40.464</v>
      </c>
      <c r="E30" s="23" t="s">
        <v>52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47" ht="15">
      <c r="A31" s="21"/>
      <c r="B31" s="21"/>
      <c r="C31" s="24" t="s">
        <v>51</v>
      </c>
      <c r="D31" s="21">
        <f>IF((D30&lt;=D6),(D30/D8+0.002*(_XLL.OVD(D30)/_XLL.UND(D6))^D19),(_XLL.OVD(D30-D6)/_XLL.UND(D8)+D12*(_XLL.OVD(D30-D6)/_XLL.UND(D4-D6))^D21+D24))</f>
        <v>0.0013954405396662574</v>
      </c>
      <c r="E31" s="21">
        <f>_XLL.EQS(D31,"Units= ; EqnPrefix=Eqn.; EqnNo= 8; Multiplication= 1; ShowWorking= 0; EqnStyle= 1; Eqp 43")</f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I31" s="7" t="s">
        <v>22</v>
      </c>
      <c r="AJ31" s="15">
        <f>IF((AJ32&lt;=$D$6),(AJ32/$D$8+0.002*(_XLL.OVD(AJ32)/_XLL.UND($D$6))^$D$19),(_XLL.OVD(AJ32-$D$6)/_XLL.UND($D$8)+$D$12*(_XLL.OVD(AJ32-$D$6)/_XLL.UND($D$4-$D$6))^$D$21+$D$24))</f>
        <v>0</v>
      </c>
      <c r="AK31" s="15">
        <f>IF((AK32&lt;=$D$6),(AK32/$D$8+0.002*(_XLL.OVD(AK32)/_XLL.UND($D$6))^$D$19),(_XLL.OVD(AK32-$D$6)/_XLL.UND($D$8)+$D$12*(_XLL.OVD(AK32-$D$6)/_XLL.UND($D$4-$D$6))^$D$21+$D$24))</f>
        <v>0.0008793130384881825</v>
      </c>
      <c r="AL31" s="15">
        <f>IF((AL32&lt;=$D$6),(AL32/$D$8+0.002*(_XLL.OVD(AL32)/_XLL.UND($D$6))^$D$19),(_XLL.OVD(AL32-$D$6)/_XLL.UND($D$8)+$D$12*(_XLL.OVD(AL32-$D$6)/_XLL.UND($D$4-$D$6))^$D$21+$D$24))</f>
        <v>0.0017595299959481888</v>
      </c>
      <c r="AM31" s="15">
        <f>IF((AM32&lt;=$D$6),(AM32/$D$8+0.002*(_XLL.OVD(AM32)/_XLL.UND($D$6))^$D$19),(_XLL.OVD(AM32-$D$6)/_XLL.UND($D$8)+$D$12*(_XLL.OVD(AM32-$D$6)/_XLL.UND($D$4-$D$6))^$D$21+$D$24))</f>
        <v>0.0026653284924255402</v>
      </c>
      <c r="AN31" s="15">
        <f>IF((AN32&lt;=$D$6),(AN32/$D$8+0.002*(_XLL.OVD(AN32)/_XLL.UND($D$6))^$D$19),(_XLL.OVD(AN32-$D$6)/_XLL.UND($D$8)+$D$12*(_XLL.OVD(AN32-$D$6)/_XLL.UND($D$4-$D$6))^$D$21+$D$24))</f>
        <v>0.003824198364029832</v>
      </c>
      <c r="AO31" s="15">
        <f>IF((AO32&lt;=$D$6),(AO32/$D$8+0.002*(_XLL.OVD(AO32)/_XLL.UND($D$6))^$D$19),(_XLL.OVD(AO32-$D$6)/_XLL.UND($D$8)+$D$12*(_XLL.OVD(AO32-$D$6)/_XLL.UND($D$4-$D$6))^$D$21+$D$24))</f>
        <v>0.006396551724137931</v>
      </c>
      <c r="AP31" s="15">
        <f>IF((AP32&lt;=$D$6),(AP32/$D$8+0.002*(_XLL.OVD(AP32)/_XLL.UND($D$6))^$D$19),(_XLL.OVD(AP32-$D$6)/_XLL.UND($D$8)+$D$12*(_XLL.OVD(AP32-$D$6)/_XLL.UND($D$4-$D$6))^$D$21+$D$24))</f>
        <v>0.007067552964143261</v>
      </c>
      <c r="AQ31" s="15">
        <f>IF((AQ32&lt;=$D$6),(AQ32/$D$8+0.002*(_XLL.OVD(AQ32)/_XLL.UND($D$6))^$D$19),(_XLL.OVD(AQ32-$D$6)/_XLL.UND($D$8)+$D$12*(_XLL.OVD(AQ32-$D$6)/_XLL.UND($D$4-$D$6))^$D$21+$D$24))</f>
        <v>0.01098216290182353</v>
      </c>
      <c r="AR31" s="15">
        <f>IF((AR32&lt;=$D$6),(AR32/$D$8+0.002*(_XLL.OVD(AR32)/_XLL.UND($D$6))^$D$19),(_XLL.OVD(AR32-$D$6)/_XLL.UND($D$8)+$D$12*(_XLL.OVD(AR32-$D$6)/_XLL.UND($D$4-$D$6))^$D$21+$D$24))</f>
        <v>0.0215928716572516</v>
      </c>
      <c r="AS31" s="15">
        <f>IF((AS32&lt;=$D$6),(AS32/$D$8+0.002*(_XLL.OVD(AS32)/_XLL.UND($D$6))^$D$19),(_XLL.OVD(AS32-$D$6)/_XLL.UND($D$8)+$D$12*(_XLL.OVD(AS32-$D$6)/_XLL.UND($D$4-$D$6))^$D$21+$D$24))</f>
        <v>0.04245128739513363</v>
      </c>
      <c r="AT31" s="15">
        <f>IF((AT32&lt;=$D$6),(AT32/$D$8+0.002*(_XLL.OVD(AT32)/_XLL.UND($D$6))^$D$19),(_XLL.OVD(AT32-$D$6)/_XLL.UND($D$8)+$D$12*(_XLL.OVD(AT32-$D$6)/_XLL.UND($D$4-$D$6))^$D$21+$D$24))</f>
        <v>0.07717241379310345</v>
      </c>
      <c r="AU31" s="15">
        <f>IF((AU32&lt;=$D$6),(AU32/$D$8+0.002*(_XLL.OVD(AU32)/_XLL.UND($D$6))^$D$19),(_XLL.OVD(AU32-$D$6)/_XLL.UND($D$8)+$D$12*(_XLL.OVD(AU32-$D$6)/_XLL.UND($D$4-$D$6))^$D$21+$D$24))</f>
        <v>0.1294186789447313</v>
      </c>
    </row>
    <row r="32" spans="1:47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I32" s="7" t="s">
        <v>21</v>
      </c>
      <c r="AJ32" s="13">
        <v>0</v>
      </c>
      <c r="AK32" s="11">
        <f>AJ32+$D$6/5</f>
        <v>25.5</v>
      </c>
      <c r="AL32" s="11">
        <f>AK32+$D$6/5</f>
        <v>51</v>
      </c>
      <c r="AM32" s="11">
        <f>AL32+$D$6/5</f>
        <v>76.5</v>
      </c>
      <c r="AN32" s="11">
        <f>AM32+$D$6/5</f>
        <v>102</v>
      </c>
      <c r="AO32" s="11">
        <f>AN32+$D$6/5</f>
        <v>127.5</v>
      </c>
      <c r="AP32" s="14">
        <f aca="true" t="shared" si="0" ref="AP32:AU32">AO32+($D$4-$D$6)/5</f>
        <v>132</v>
      </c>
      <c r="AQ32" s="14">
        <f t="shared" si="0"/>
        <v>136.5</v>
      </c>
      <c r="AR32" s="14">
        <f t="shared" si="0"/>
        <v>141</v>
      </c>
      <c r="AS32" s="14">
        <f t="shared" si="0"/>
        <v>145.5</v>
      </c>
      <c r="AT32" s="14">
        <f t="shared" si="0"/>
        <v>150</v>
      </c>
      <c r="AU32" s="14">
        <f t="shared" si="0"/>
        <v>154.5</v>
      </c>
    </row>
    <row r="33" ht="15"/>
    <row r="36" spans="34:46" ht="15">
      <c r="AH36" s="7" t="s">
        <v>21</v>
      </c>
      <c r="AI36" s="7" t="s">
        <v>22</v>
      </c>
      <c r="AJ36" s="38" t="s">
        <v>53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34:46" ht="15">
      <c r="AH37" s="7">
        <f>MAX(AJ37:AT37)</f>
        <v>149.74079181945763</v>
      </c>
      <c r="AI37" s="7">
        <f>Fatigue!H2</f>
        <v>0.07517241379310345</v>
      </c>
      <c r="AJ37" s="7">
        <f aca="true" t="shared" si="1" ref="AJ37:AT37">IF(AND($AI37&gt;AJ$31,$AI37&lt;=AK$31),AJ$32+($AI37-AJ$31)*(AK$32-AJ$32)/(AK$31-AJ$31),0)</f>
        <v>0</v>
      </c>
      <c r="AK37" s="7">
        <f t="shared" si="1"/>
        <v>0</v>
      </c>
      <c r="AL37" s="7">
        <f t="shared" si="1"/>
        <v>0</v>
      </c>
      <c r="AM37" s="7">
        <f t="shared" si="1"/>
        <v>0</v>
      </c>
      <c r="AN37" s="7">
        <f t="shared" si="1"/>
        <v>0</v>
      </c>
      <c r="AO37" s="7">
        <f t="shared" si="1"/>
        <v>0</v>
      </c>
      <c r="AP37" s="7">
        <f t="shared" si="1"/>
        <v>0</v>
      </c>
      <c r="AQ37" s="7">
        <f t="shared" si="1"/>
        <v>0</v>
      </c>
      <c r="AR37" s="7">
        <f t="shared" si="1"/>
        <v>0</v>
      </c>
      <c r="AS37" s="7">
        <f t="shared" si="1"/>
        <v>149.74079181945763</v>
      </c>
      <c r="AT37" s="7">
        <f t="shared" si="1"/>
        <v>0</v>
      </c>
    </row>
    <row r="38" spans="34:46" ht="15">
      <c r="AH38" s="7">
        <f aca="true" t="shared" si="2" ref="AH38:AH45">MAX(AJ38:AT38)</f>
        <v>146.71096109418272</v>
      </c>
      <c r="AI38" s="7">
        <f>Fatigue!H3</f>
        <v>0.051794828109387514</v>
      </c>
      <c r="AJ38" s="7">
        <f aca="true" t="shared" si="3" ref="AJ38:AT38">IF(AND($AI38&gt;AJ$31,$AI38&lt;=AK$31),AJ$32+($AI38-AJ$31)*(AK$32-AJ$32)/(AK$31-AJ$31),0)</f>
        <v>0</v>
      </c>
      <c r="AK38" s="7">
        <f t="shared" si="3"/>
        <v>0</v>
      </c>
      <c r="AL38" s="7">
        <f t="shared" si="3"/>
        <v>0</v>
      </c>
      <c r="AM38" s="7">
        <f t="shared" si="3"/>
        <v>0</v>
      </c>
      <c r="AN38" s="7">
        <f t="shared" si="3"/>
        <v>0</v>
      </c>
      <c r="AO38" s="7">
        <f t="shared" si="3"/>
        <v>0</v>
      </c>
      <c r="AP38" s="7">
        <f t="shared" si="3"/>
        <v>0</v>
      </c>
      <c r="AQ38" s="7">
        <f t="shared" si="3"/>
        <v>0</v>
      </c>
      <c r="AR38" s="7">
        <f t="shared" si="3"/>
        <v>0</v>
      </c>
      <c r="AS38" s="7">
        <f t="shared" si="3"/>
        <v>146.71096109418272</v>
      </c>
      <c r="AT38" s="7">
        <f t="shared" si="3"/>
        <v>0</v>
      </c>
    </row>
    <row r="39" spans="34:46" ht="15">
      <c r="AH39" s="7">
        <f t="shared" si="2"/>
        <v>142.50319484268437</v>
      </c>
      <c r="AI39" s="7">
        <f>Fatigue!H4</f>
        <v>0.028560485649196235</v>
      </c>
      <c r="AJ39" s="7">
        <f aca="true" t="shared" si="4" ref="AJ39:AT39">IF(AND($AI39&gt;AJ$31,$AI39&lt;=AK$31),AJ$32+($AI39-AJ$31)*(AK$32-AJ$32)/(AK$31-AJ$31),0)</f>
        <v>0</v>
      </c>
      <c r="AK39" s="7">
        <f t="shared" si="4"/>
        <v>0</v>
      </c>
      <c r="AL39" s="7">
        <f t="shared" si="4"/>
        <v>0</v>
      </c>
      <c r="AM39" s="7">
        <f t="shared" si="4"/>
        <v>0</v>
      </c>
      <c r="AN39" s="7">
        <f t="shared" si="4"/>
        <v>0</v>
      </c>
      <c r="AO39" s="7">
        <f t="shared" si="4"/>
        <v>0</v>
      </c>
      <c r="AP39" s="7">
        <f t="shared" si="4"/>
        <v>0</v>
      </c>
      <c r="AQ39" s="7">
        <f t="shared" si="4"/>
        <v>0</v>
      </c>
      <c r="AR39" s="7">
        <f t="shared" si="4"/>
        <v>142.50319484268437</v>
      </c>
      <c r="AS39" s="7">
        <f t="shared" si="4"/>
        <v>0</v>
      </c>
      <c r="AT39" s="7">
        <f t="shared" si="4"/>
        <v>0</v>
      </c>
    </row>
    <row r="40" spans="34:46" ht="15">
      <c r="AH40" s="7">
        <f t="shared" si="2"/>
        <v>138.8089164136602</v>
      </c>
      <c r="AI40" s="7">
        <f>Fatigue!H5</f>
        <v>0.016426438369818133</v>
      </c>
      <c r="AJ40" s="7">
        <f aca="true" t="shared" si="5" ref="AJ40:AT40">IF(AND($AI40&gt;AJ$31,$AI40&lt;=AK$31),AJ$32+($AI40-AJ$31)*(AK$32-AJ$32)/(AK$31-AJ$31),0)</f>
        <v>0</v>
      </c>
      <c r="AK40" s="7">
        <f t="shared" si="5"/>
        <v>0</v>
      </c>
      <c r="AL40" s="7">
        <f t="shared" si="5"/>
        <v>0</v>
      </c>
      <c r="AM40" s="7">
        <f t="shared" si="5"/>
        <v>0</v>
      </c>
      <c r="AN40" s="7">
        <f t="shared" si="5"/>
        <v>0</v>
      </c>
      <c r="AO40" s="7">
        <f t="shared" si="5"/>
        <v>0</v>
      </c>
      <c r="AP40" s="7">
        <f t="shared" si="5"/>
        <v>0</v>
      </c>
      <c r="AQ40" s="7">
        <f t="shared" si="5"/>
        <v>138.8089164136602</v>
      </c>
      <c r="AR40" s="7">
        <f t="shared" si="5"/>
        <v>0</v>
      </c>
      <c r="AS40" s="7">
        <f t="shared" si="5"/>
        <v>0</v>
      </c>
      <c r="AT40" s="7">
        <f t="shared" si="5"/>
        <v>0</v>
      </c>
    </row>
    <row r="41" spans="34:46" ht="15">
      <c r="AH41" s="7">
        <f t="shared" si="2"/>
        <v>135.39481960795254</v>
      </c>
      <c r="AI41" s="7">
        <f>Fatigue!H6</f>
        <v>0.010020751758348333</v>
      </c>
      <c r="AJ41" s="7">
        <f aca="true" t="shared" si="6" ref="AJ41:AT41">IF(AND($AI41&gt;AJ$31,$AI41&lt;=AK$31),AJ$32+($AI41-AJ$31)*(AK$32-AJ$32)/(AK$31-AJ$31),0)</f>
        <v>0</v>
      </c>
      <c r="AK41" s="7">
        <f t="shared" si="6"/>
        <v>0</v>
      </c>
      <c r="AL41" s="7">
        <f t="shared" si="6"/>
        <v>0</v>
      </c>
      <c r="AM41" s="7">
        <f t="shared" si="6"/>
        <v>0</v>
      </c>
      <c r="AN41" s="7">
        <f t="shared" si="6"/>
        <v>0</v>
      </c>
      <c r="AO41" s="7">
        <f t="shared" si="6"/>
        <v>0</v>
      </c>
      <c r="AP41" s="7">
        <f t="shared" si="6"/>
        <v>135.39481960795254</v>
      </c>
      <c r="AQ41" s="7">
        <f t="shared" si="6"/>
        <v>0</v>
      </c>
      <c r="AR41" s="7">
        <f t="shared" si="6"/>
        <v>0</v>
      </c>
      <c r="AS41" s="7">
        <f t="shared" si="6"/>
        <v>0</v>
      </c>
      <c r="AT41" s="7">
        <f t="shared" si="6"/>
        <v>0</v>
      </c>
    </row>
    <row r="42" spans="34:46" ht="15">
      <c r="AH42" s="7">
        <f t="shared" si="2"/>
        <v>128.71523397232605</v>
      </c>
      <c r="AI42" s="7">
        <f>Fatigue!H7</f>
        <v>0.006577756946877348</v>
      </c>
      <c r="AJ42" s="7">
        <f aca="true" t="shared" si="7" ref="AJ42:AT42">IF(AND($AI42&gt;AJ$31,$AI42&lt;=AK$31),AJ$32+($AI42-AJ$31)*(AK$32-AJ$32)/(AK$31-AJ$31),0)</f>
        <v>0</v>
      </c>
      <c r="AK42" s="7">
        <f t="shared" si="7"/>
        <v>0</v>
      </c>
      <c r="AL42" s="7">
        <f t="shared" si="7"/>
        <v>0</v>
      </c>
      <c r="AM42" s="7">
        <f t="shared" si="7"/>
        <v>0</v>
      </c>
      <c r="AN42" s="7">
        <f t="shared" si="7"/>
        <v>0</v>
      </c>
      <c r="AO42" s="7">
        <f t="shared" si="7"/>
        <v>128.71523397232605</v>
      </c>
      <c r="AP42" s="7">
        <f t="shared" si="7"/>
        <v>0</v>
      </c>
      <c r="AQ42" s="7">
        <f t="shared" si="7"/>
        <v>0</v>
      </c>
      <c r="AR42" s="7">
        <f t="shared" si="7"/>
        <v>0</v>
      </c>
      <c r="AS42" s="7">
        <f t="shared" si="7"/>
        <v>0</v>
      </c>
      <c r="AT42" s="7">
        <f t="shared" si="7"/>
        <v>0</v>
      </c>
    </row>
    <row r="43" spans="34:46" ht="15">
      <c r="AH43" s="7">
        <f t="shared" si="2"/>
        <v>110.41397030317903</v>
      </c>
      <c r="AI43" s="7">
        <f>Fatigue!H8</f>
        <v>0.004672971100548747</v>
      </c>
      <c r="AJ43" s="7">
        <f aca="true" t="shared" si="8" ref="AJ43:AT43">IF(AND($AI43&gt;AJ$31,$AI43&lt;=AK$31),AJ$32+($AI43-AJ$31)*(AK$32-AJ$32)/(AK$31-AJ$31),0)</f>
        <v>0</v>
      </c>
      <c r="AK43" s="7">
        <f t="shared" si="8"/>
        <v>0</v>
      </c>
      <c r="AL43" s="7">
        <f t="shared" si="8"/>
        <v>0</v>
      </c>
      <c r="AM43" s="7">
        <f t="shared" si="8"/>
        <v>0</v>
      </c>
      <c r="AN43" s="7">
        <f t="shared" si="8"/>
        <v>110.41397030317903</v>
      </c>
      <c r="AO43" s="7">
        <f t="shared" si="8"/>
        <v>0</v>
      </c>
      <c r="AP43" s="7">
        <f t="shared" si="8"/>
        <v>0</v>
      </c>
      <c r="AQ43" s="7">
        <f t="shared" si="8"/>
        <v>0</v>
      </c>
      <c r="AR43" s="7">
        <f t="shared" si="8"/>
        <v>0</v>
      </c>
      <c r="AS43" s="7">
        <f t="shared" si="8"/>
        <v>0</v>
      </c>
      <c r="AT43" s="7">
        <f t="shared" si="8"/>
        <v>0</v>
      </c>
    </row>
    <row r="44" spans="34:46" ht="15">
      <c r="AH44" s="7">
        <f t="shared" si="2"/>
        <v>96.45375247466569</v>
      </c>
      <c r="AI44" s="7">
        <f>Fatigue!H9</f>
        <v>0.0035721442794192522</v>
      </c>
      <c r="AJ44" s="7">
        <f aca="true" t="shared" si="9" ref="AJ44:AT44">IF(AND($AI44&gt;AJ$31,$AI44&lt;=AK$31),AJ$32+($AI44-AJ$31)*(AK$32-AJ$32)/(AK$31-AJ$31),0)</f>
        <v>0</v>
      </c>
      <c r="AK44" s="7">
        <f t="shared" si="9"/>
        <v>0</v>
      </c>
      <c r="AL44" s="7">
        <f t="shared" si="9"/>
        <v>0</v>
      </c>
      <c r="AM44" s="7">
        <f t="shared" si="9"/>
        <v>96.45375247466569</v>
      </c>
      <c r="AN44" s="7">
        <f t="shared" si="9"/>
        <v>0</v>
      </c>
      <c r="AO44" s="7">
        <f t="shared" si="9"/>
        <v>0</v>
      </c>
      <c r="AP44" s="7">
        <f t="shared" si="9"/>
        <v>0</v>
      </c>
      <c r="AQ44" s="7">
        <f t="shared" si="9"/>
        <v>0</v>
      </c>
      <c r="AR44" s="7">
        <f t="shared" si="9"/>
        <v>0</v>
      </c>
      <c r="AS44" s="7">
        <f t="shared" si="9"/>
        <v>0</v>
      </c>
      <c r="AT44" s="7">
        <f t="shared" si="9"/>
        <v>0</v>
      </c>
    </row>
    <row r="45" spans="34:46" ht="15">
      <c r="AH45" s="7">
        <f t="shared" si="2"/>
        <v>81.5824037824626</v>
      </c>
      <c r="AI45" s="7">
        <f>Fatigue!H10</f>
        <v>0.002896302791202937</v>
      </c>
      <c r="AJ45" s="7">
        <f aca="true" t="shared" si="10" ref="AJ45:AT45">IF(AND($AI45&gt;AJ$31,$AI45&lt;=AK$31),AJ$32+($AI45-AJ$31)*(AK$32-AJ$32)/(AK$31-AJ$31),0)</f>
        <v>0</v>
      </c>
      <c r="AK45" s="7">
        <f t="shared" si="10"/>
        <v>0</v>
      </c>
      <c r="AL45" s="7">
        <f t="shared" si="10"/>
        <v>0</v>
      </c>
      <c r="AM45" s="7">
        <f t="shared" si="10"/>
        <v>81.5824037824626</v>
      </c>
      <c r="AN45" s="7">
        <f t="shared" si="10"/>
        <v>0</v>
      </c>
      <c r="AO45" s="7">
        <f t="shared" si="10"/>
        <v>0</v>
      </c>
      <c r="AP45" s="7">
        <f t="shared" si="10"/>
        <v>0</v>
      </c>
      <c r="AQ45" s="7">
        <f t="shared" si="10"/>
        <v>0</v>
      </c>
      <c r="AR45" s="7">
        <f t="shared" si="10"/>
        <v>0</v>
      </c>
      <c r="AS45" s="7">
        <f t="shared" si="10"/>
        <v>0</v>
      </c>
      <c r="AT45" s="7">
        <f t="shared" si="10"/>
        <v>0</v>
      </c>
    </row>
  </sheetData>
  <mergeCells count="1">
    <mergeCell ref="AJ36:AT36"/>
  </mergeCells>
  <printOptions horizontalCentered="1" verticalCentered="1"/>
  <pageMargins left="0.748031496062992" right="0.21" top="0.44" bottom="0.51" header="0.27" footer="0.511811023622047"/>
  <pageSetup fitToHeight="1" fitToWidth="1" orientation="landscape" paperSize="9" scale="63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mageeap</dc:creator>
  <cp:keywords/>
  <dc:description/>
  <cp:lastModifiedBy>John Doyle</cp:lastModifiedBy>
  <cp:lastPrinted>2009-03-18T18:57:45Z</cp:lastPrinted>
  <dcterms:created xsi:type="dcterms:W3CDTF">2009-02-02T20:21:06Z</dcterms:created>
  <dcterms:modified xsi:type="dcterms:W3CDTF">2009-05-22T07:29:37Z</dcterms:modified>
  <cp:category/>
  <cp:version/>
  <cp:contentType/>
  <cp:contentStatus/>
</cp:coreProperties>
</file>